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/>
  <mc:AlternateContent xmlns:mc="http://schemas.openxmlformats.org/markup-compatibility/2006">
    <mc:Choice Requires="x15">
      <x15ac:absPath xmlns:x15ac="http://schemas.microsoft.com/office/spreadsheetml/2010/11/ac" url="https://d.docs.live.net/ddfb56d5101c5b42/Documents/Work/Sparren met Cijfers/"/>
    </mc:Choice>
  </mc:AlternateContent>
  <xr:revisionPtr revIDLastSave="0" documentId="8_{3C762E60-B833-4E39-8FDE-9D81BA8950F1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Input" sheetId="4" r:id="rId1"/>
    <sheet name="Overzicht" sheetId="6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6" l="1"/>
  <c r="H20" i="6"/>
  <c r="E24" i="6"/>
  <c r="B15" i="4"/>
  <c r="B18" i="4" s="1"/>
  <c r="E25" i="6"/>
  <c r="E26" i="6" s="1"/>
  <c r="B14" i="6" s="1"/>
  <c r="C14" i="6" s="1" a="1"/>
  <c r="C14" i="6" s="1"/>
  <c r="E19" i="6"/>
  <c r="B12" i="6" s="1"/>
  <c r="C12" i="6" s="1" a="1"/>
  <c r="C12" i="6" s="1"/>
  <c r="B20" i="6"/>
  <c r="B11" i="6" s="1"/>
  <c r="C11" i="6" s="1" a="1"/>
  <c r="C11" i="6" s="1"/>
  <c r="B21" i="6"/>
  <c r="E20" i="6" l="1"/>
  <c r="E21" i="6"/>
  <c r="B13" i="6"/>
  <c r="C13" i="6" s="1" a="1"/>
  <c r="C13" i="6" s="1"/>
  <c r="B1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<sst xmlns="http://schemas.openxmlformats.org/spreadsheetml/2006/main" count="42" uniqueCount="37">
  <si>
    <t>Cash Clarity Scan - Ontdek waar je cash blijft</t>
  </si>
  <si>
    <t>Vul de cijfers van de afgelopen 12 maanden in</t>
  </si>
  <si>
    <t>Gebruik je jaarrekening of P&amp;L</t>
  </si>
  <si>
    <t>Reken inclusief je eigen ondernemersbeloning als arbeidskosten</t>
  </si>
  <si>
    <t>Resultaat</t>
  </si>
  <si>
    <t>Cash</t>
  </si>
  <si>
    <t>Arbeid</t>
  </si>
  <si>
    <t>Omzet</t>
  </si>
  <si>
    <t>Beginstand per 01-01</t>
  </si>
  <si>
    <t>Aantal FTE</t>
  </si>
  <si>
    <t>Directe kosten</t>
  </si>
  <si>
    <t>Eindstand per 31-12</t>
  </si>
  <si>
    <t>Gemiddelde loonkosten per FTE</t>
  </si>
  <si>
    <t>Brutowinst</t>
  </si>
  <si>
    <t>Kosten extra medewerker per jaar</t>
  </si>
  <si>
    <t>Totale arbeidskosten (incl. DGA)</t>
  </si>
  <si>
    <t>Overige bedrijfskosten</t>
  </si>
  <si>
    <t>Nettowinst</t>
  </si>
  <si>
    <t>Cashflow Gezondheidscheck - Ontdek waar je cash blijft</t>
  </si>
  <si>
    <t>De cijfers laten zien waar de economische druk of speelruimte zit.</t>
  </si>
  <si>
    <t>De volgende stap is bepalen welke 2–3 beslissingen uw maandelijkse vrije cash het meest beïnvloeden.</t>
  </si>
  <si>
    <t>Uw cashprofiel in één oogopslag</t>
  </si>
  <si>
    <t>Conclusie</t>
  </si>
  <si>
    <t>Nettowinst %</t>
  </si>
  <si>
    <t>Cash ≈ Winst</t>
  </si>
  <si>
    <t>Arbeidsproductiviteit</t>
  </si>
  <si>
    <t>Cashbuffer in maanden</t>
  </si>
  <si>
    <t>Simple Numbers Overzicht</t>
  </si>
  <si>
    <t>Cash realiteit</t>
  </si>
  <si>
    <t>Arbeidsstress-test</t>
  </si>
  <si>
    <t>Brutowinst %</t>
  </si>
  <si>
    <t>Cashverandering</t>
  </si>
  <si>
    <t>Cash vs winst</t>
  </si>
  <si>
    <t>Benodigde extra brutowinst</t>
  </si>
  <si>
    <t>Cash conversie ratio</t>
  </si>
  <si>
    <t>Bufferberekening</t>
  </si>
  <si>
    <t>Maandelijkse vaste 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</si>
</sst>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13]d\-mmm\-yy;@"/>
    <numFmt numFmtId="165" formatCode="0.0"/>
    <numFmt numFmtId="166" formatCode="_ &quot;€&quot;\ * #,##0_ ;_ &quot;€&quot;\ * \-#,##0_ ;_ &quot;€&quot;\ * &quot;-&quot;??_ ;_ @_ "/>
    <numFmt numFmtId="167" formatCode="0.0%"/>
  </numFmts>
  <fonts count="7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3A6DAE"/>
        <bgColor indexed="64"/>
      </patternFill>
    </fill>
  </fills>
  <borders count="9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/>
    <xf numFmtId="0" fontId="0" fillId="0" borderId="0" xfId="0" applyFont="1"/>
    <xf numFmtId="164" fontId="0" fillId="0" borderId="0" xfId="0" applyNumberFormat="1" applyFont="1"/>
    <xf numFmtId="0" fontId="0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3" fillId="0" borderId="4" xfId="0" applyFont="1" applyBorder="1"/>
    <xf numFmtId="0" fontId="0" fillId="0" borderId="1" xfId="0" applyFont="1" applyBorder="1"/>
    <xf numFmtId="0" fontId="0" fillId="0" borderId="5" xfId="0" applyFont="1" applyBorder="1"/>
    <xf numFmtId="0" fontId="0" fillId="0" borderId="6" xfId="0" applyFont="1" applyBorder="1"/>
    <xf numFmtId="0" fontId="3" fillId="0" borderId="8" xfId="0" applyFont="1" applyBorder="1"/>
    <xf numFmtId="0" fontId="0" fillId="0" borderId="0" xfId="0" applyFont="1" applyBorder="1"/>
    <xf numFmtId="0" fontId="0" fillId="0" borderId="7" xfId="0" applyFont="1" applyBorder="1"/>
    <xf numFmtId="166" fontId="0" fillId="0" borderId="2" xfId="0" applyNumberFormat="1" applyFont="1" applyBorder="1"/>
    <xf numFmtId="0" fontId="0" fillId="0" borderId="2" xfId="0" applyFont="1" applyBorder="1"/>
    <xf numFmtId="0" fontId="2" fillId="0" borderId="5" xfId="0" applyFont="1" applyBorder="1"/>
    <xf numFmtId="165" fontId="0" fillId="0" borderId="3" xfId="0" applyNumberFormat="1" applyFont="1" applyBorder="1"/>
    <xf numFmtId="0" fontId="0" fillId="0" borderId="5" xfId="0" applyFont="1" applyBorder="1" applyAlignment="1"/>
    <xf numFmtId="0" fontId="0" fillId="0" borderId="6" xfId="0" applyFont="1" applyBorder="1" applyAlignment="1">
      <alignment wrapText="1"/>
    </xf>
    <xf numFmtId="166" fontId="0" fillId="0" borderId="3" xfId="0" applyNumberFormat="1" applyFont="1" applyBorder="1"/>
    <xf numFmtId="0" fontId="0" fillId="0" borderId="8" xfId="0" applyFont="1" applyBorder="1"/>
    <xf numFmtId="9" fontId="0" fillId="0" borderId="0" xfId="0" applyNumberFormat="1" applyFont="1" applyBorder="1"/>
    <xf numFmtId="0" fontId="0" fillId="0" borderId="0" xfId="0" applyFont="1" applyBorder="1" applyAlignment="1"/>
    <xf numFmtId="165" fontId="0" fillId="0" borderId="7" xfId="0" applyNumberFormat="1" applyFont="1" applyBorder="1"/>
    <xf numFmtId="0" fontId="0" fillId="0" borderId="3" xfId="0" applyFont="1" applyBorder="1"/>
    <xf numFmtId="167" fontId="0" fillId="0" borderId="2" xfId="0" applyNumberFormat="1" applyFont="1" applyBorder="1"/>
    <xf numFmtId="165" fontId="0" fillId="0" borderId="0" xfId="0" applyNumberFormat="1" applyFont="1" applyBorder="1"/>
    <xf numFmtId="0" fontId="2" fillId="2" borderId="5" xfId="0" applyFont="1" applyFill="1" applyBorder="1"/>
    <xf numFmtId="166" fontId="2" fillId="2" borderId="2" xfId="0" applyNumberFormat="1" applyFont="1" applyFill="1" applyBorder="1"/>
    <xf numFmtId="0" fontId="0" fillId="0" borderId="5" xfId="0" applyFont="1" applyBorder="1" applyAlignment="1">
      <alignment wrapText="1"/>
    </xf>
    <xf numFmtId="0" fontId="2" fillId="2" borderId="6" xfId="0" applyFont="1" applyFill="1" applyBorder="1"/>
    <xf numFmtId="166" fontId="2" fillId="2" borderId="3" xfId="0" applyNumberFormat="1" applyFont="1" applyFill="1" applyBorder="1"/>
    <xf numFmtId="0" fontId="0" fillId="0" borderId="6" xfId="0" applyFont="1" applyBorder="1" applyAlignment="1"/>
    <xf numFmtId="0" fontId="1" fillId="0" borderId="4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6" fontId="6" fillId="3" borderId="2" xfId="0" applyNumberFormat="1" applyFont="1" applyFill="1" applyBorder="1"/>
    <xf numFmtId="166" fontId="6" fillId="3" borderId="3" xfId="0" applyNumberFormat="1" applyFont="1" applyFill="1" applyBorder="1"/>
    <xf numFmtId="0" fontId="6" fillId="3" borderId="2" xfId="0" applyFont="1" applyFill="1" applyBorder="1" applyAlignment="1">
      <alignment horizontal="left"/>
    </xf>
  </cellXfs>
  <cellStyles count="1">
    <cellStyle name="Normal" xfId="0" builtinId="0"/>
  </cellStyles>
  <dxfs count="20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3A6DAE"/>
      <color rgb="FF3A3D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8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BB9B1A-FF2B-4760-BD4E-41EA97C22471}"/>
            </a:ext>
            <a:ext uri="{147F2762-F138-4A5C-976F-8EAC2B608ADB}">
              <a16:predDERef xmlns:a16="http://schemas.microsoft.com/office/drawing/2014/main" pred="{3D092468-D3D0-4876-81EA-41C26543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28775" cy="1685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1628775</xdr:colOff>
      <xdr:row>8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D6E7F5-1EEA-4DEC-ACFD-DFBF746480C7}"/>
            </a:ext>
            <a:ext uri="{147F2762-F138-4A5C-976F-8EAC2B608ADB}">
              <a16:predDERef xmlns:a16="http://schemas.microsoft.com/office/drawing/2014/main" pred="{3D092468-D3D0-4876-81EA-41C26543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28775" cy="1685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2A11B-E13B-4BBC-BF76-BECA7EFDB0EE}">
  <dimension ref="A2:H18"/>
  <sheetViews>
    <sheetView showGridLines="0" tabSelected="1" workbookViewId="0">
      <selection activeCell="H13" sqref="H13:H15"/>
    </sheetView>
  </sheetViews>
  <sheetFormatPr defaultRowHeight="15"/>
  <cols>
    <col min="1" max="1" width="21.140625" style="2" customWidth="1"/>
    <col min="2" max="2" width="12.140625" style="2" bestFit="1" customWidth="1"/>
    <col min="3" max="3" width="5.28515625" style="2" customWidth="1"/>
    <col min="4" max="4" width="19.85546875" style="2" customWidth="1"/>
    <col min="5" max="5" width="10.42578125" style="2" bestFit="1" customWidth="1"/>
    <col min="6" max="6" width="5.7109375" style="2" customWidth="1"/>
    <col min="7" max="7" width="30.5703125" style="2" bestFit="1" customWidth="1"/>
    <col min="8" max="8" width="11" style="2" bestFit="1" customWidth="1"/>
    <col min="9" max="9" width="9.140625" style="2"/>
    <col min="10" max="10" width="23.140625" style="2" customWidth="1"/>
    <col min="11" max="11" width="9.140625" style="2"/>
    <col min="12" max="12" width="36.5703125" style="2" bestFit="1" customWidth="1"/>
    <col min="13" max="13" width="9.140625" style="2"/>
    <col min="14" max="14" width="18.140625" style="2" bestFit="1" customWidth="1"/>
    <col min="15" max="16384" width="9.140625" style="2"/>
  </cols>
  <sheetData>
    <row r="2" spans="1:8" ht="18.75">
      <c r="C2" s="1" t="s">
        <v>0</v>
      </c>
    </row>
    <row r="3" spans="1:8">
      <c r="C3" s="5" t="s">
        <v>1</v>
      </c>
    </row>
    <row r="4" spans="1:8">
      <c r="C4" s="5" t="s">
        <v>2</v>
      </c>
    </row>
    <row r="5" spans="1:8">
      <c r="C5" s="5" t="s">
        <v>3</v>
      </c>
    </row>
    <row r="12" spans="1:8" ht="15.75">
      <c r="A12" s="7" t="s">
        <v>4</v>
      </c>
      <c r="B12" s="8"/>
      <c r="D12" s="7" t="s">
        <v>5</v>
      </c>
      <c r="E12" s="8"/>
      <c r="G12" s="7" t="s">
        <v>6</v>
      </c>
      <c r="H12" s="8"/>
    </row>
    <row r="13" spans="1:8">
      <c r="A13" s="9" t="s">
        <v>7</v>
      </c>
      <c r="B13" s="36">
        <v>1000000</v>
      </c>
      <c r="D13" s="18" t="s">
        <v>8</v>
      </c>
      <c r="E13" s="36">
        <v>350000</v>
      </c>
      <c r="G13" s="9" t="s">
        <v>9</v>
      </c>
      <c r="H13" s="38">
        <v>12</v>
      </c>
    </row>
    <row r="14" spans="1:8">
      <c r="A14" s="9" t="s">
        <v>10</v>
      </c>
      <c r="B14" s="36">
        <v>200000</v>
      </c>
      <c r="D14" s="10" t="s">
        <v>11</v>
      </c>
      <c r="E14" s="37">
        <v>500000</v>
      </c>
      <c r="G14" s="9" t="s">
        <v>12</v>
      </c>
      <c r="H14" s="36">
        <v>70000</v>
      </c>
    </row>
    <row r="15" spans="1:8">
      <c r="A15" s="28" t="s">
        <v>13</v>
      </c>
      <c r="B15" s="29">
        <f>Input!B13-Input!B14</f>
        <v>800000</v>
      </c>
      <c r="G15" s="33" t="s">
        <v>14</v>
      </c>
      <c r="H15" s="37">
        <v>75000</v>
      </c>
    </row>
    <row r="16" spans="1:8" ht="30.75">
      <c r="A16" s="30" t="s">
        <v>15</v>
      </c>
      <c r="B16" s="36">
        <v>200000</v>
      </c>
    </row>
    <row r="17" spans="1:2">
      <c r="A17" s="9" t="s">
        <v>16</v>
      </c>
      <c r="B17" s="36">
        <v>450000</v>
      </c>
    </row>
    <row r="18" spans="1:2">
      <c r="A18" s="31" t="s">
        <v>17</v>
      </c>
      <c r="B18" s="32">
        <f>B15-B16-B17</f>
        <v>150000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F24D1-35E1-4624-B142-747B725DD47B}">
  <dimension ref="A2:I26"/>
  <sheetViews>
    <sheetView showGridLines="0" workbookViewId="0">
      <selection activeCell="H26" sqref="H26"/>
    </sheetView>
  </sheetViews>
  <sheetFormatPr defaultRowHeight="15"/>
  <cols>
    <col min="1" max="1" width="26" style="2" bestFit="1" customWidth="1"/>
    <col min="2" max="2" width="12" style="2" customWidth="1"/>
    <col min="3" max="3" width="4.28515625" style="2" customWidth="1"/>
    <col min="4" max="4" width="23.85546875" style="2" bestFit="1" customWidth="1"/>
    <col min="5" max="5" width="12.85546875" style="2" customWidth="1"/>
    <col min="6" max="6" width="5.7109375" style="2" customWidth="1"/>
    <col min="7" max="7" width="29.85546875" style="2" customWidth="1"/>
    <col min="8" max="8" width="12.140625" style="2" bestFit="1" customWidth="1"/>
    <col min="9" max="9" width="29.140625" style="2" customWidth="1"/>
    <col min="10" max="16384" width="9.140625" style="2"/>
  </cols>
  <sheetData>
    <row r="2" spans="1:9" ht="18.75">
      <c r="B2" s="1" t="s">
        <v>18</v>
      </c>
    </row>
    <row r="3" spans="1:9" ht="15.75">
      <c r="B3" s="6" t="s">
        <v>19</v>
      </c>
      <c r="C3" s="6"/>
      <c r="D3" s="6"/>
      <c r="E3" s="6"/>
      <c r="F3" s="6"/>
      <c r="G3" s="6"/>
      <c r="H3" s="6"/>
    </row>
    <row r="4" spans="1:9" ht="15.75">
      <c r="B4" s="6" t="s">
        <v>20</v>
      </c>
    </row>
    <row r="5" spans="1:9">
      <c r="B5" s="4"/>
      <c r="G5" s="3"/>
    </row>
    <row r="10" spans="1:9" ht="18.75">
      <c r="A10" s="34" t="s">
        <v>21</v>
      </c>
      <c r="B10" s="35"/>
      <c r="C10" s="11" t="s">
        <v>22</v>
      </c>
      <c r="D10" s="21"/>
      <c r="E10" s="21"/>
      <c r="F10" s="21"/>
      <c r="G10" s="21"/>
      <c r="H10" s="21"/>
      <c r="I10" s="8"/>
    </row>
    <row r="11" spans="1:9">
      <c r="A11" s="9" t="s">
        <v>23</v>
      </c>
      <c r="B11" s="22">
        <f>Overzicht!B20</f>
        <v>0.15</v>
      </c>
      <c r="C11" s="23" t="str" cm="1">
        <f t="array" ref="C11">_xlfn.IFS(B11&lt;0.1,"Uw huidige marge is onvoldoende om structureel cash op te bouwen. Kleine tegenvallers kunnen direct druk geven op uw bankpositie.",AND(B11&gt;=0.1,B11&lt;0.15),"Uw bedrijf draait winstgevend, maar de marge biedt beperkte speelruimte voor fouten of groei-investeringen.",B11&gt;=0.15,"Uw winstgevendheid is sterk. De belangrijkste vraag is hoe u deze marge beschermt bij groei.")</f>
        <v>Uw winstgevendheid is sterk. De belangrijkste vraag is hoe u deze marge beschermt bij groei.</v>
      </c>
      <c r="D11" s="12"/>
      <c r="E11" s="12"/>
      <c r="F11" s="12"/>
      <c r="G11" s="12"/>
      <c r="H11" s="12"/>
      <c r="I11" s="15"/>
    </row>
    <row r="12" spans="1:9">
      <c r="A12" s="9" t="s">
        <v>24</v>
      </c>
      <c r="B12" s="22">
        <f>Overzicht!E19/Input!B18</f>
        <v>1</v>
      </c>
      <c r="C12" s="12" t="str" cm="1">
        <f t="array" ref="C12">_xlfn.IFS(B12&lt;0.7,"Uw winst vertaalt zich onvoldoende naar cash. Dit verschil kan uw groei beperken, zelfs bij goede winstcijfers.",B12&lt;0,"Ondanks winst daalt uw cashpositie. Dit wijst op structurele cashdruk die aandacht vereist.",B12&gt;=0.7,"Uw winst wordt grotendeels omgezet in cash. Uw cashstructuur is gezond.")</f>
        <v>Uw winst wordt grotendeels omgezet in cash. Uw cashstructuur is gezond.</v>
      </c>
      <c r="D12" s="12"/>
      <c r="E12" s="12"/>
      <c r="F12" s="12"/>
      <c r="G12" s="12"/>
      <c r="H12" s="12"/>
      <c r="I12" s="15"/>
    </row>
    <row r="13" spans="1:9">
      <c r="A13" s="9" t="s">
        <v>25</v>
      </c>
      <c r="B13" s="27">
        <f>Overzicht!B21</f>
        <v>4</v>
      </c>
      <c r="C13" s="12" t="str" cm="1">
        <f t="array" ref="C13">_xlfn.IFS(B13&lt;1.5,"Arbeid rendeert onvoldoende. Hier ligt uw grootste economische hefboom.",AND(B13&gt;=1.5,B13&lt;2),"Uw arbeidsproductiviteit is acceptabel maar kwetsbaar bij tegenvallende omzet of prijsdruk.",B13&gt;=2,"Uw arbeid creëert voldoende brutowinst. Groei is mogelijk, mits marges behouden blijven.")</f>
        <v>Uw arbeid creëert voldoende brutowinst. Groei is mogelijk, mits marges behouden blijven.</v>
      </c>
      <c r="D13" s="12"/>
      <c r="E13" s="12"/>
      <c r="F13" s="12"/>
      <c r="G13" s="12"/>
      <c r="H13" s="12"/>
      <c r="I13" s="15"/>
    </row>
    <row r="14" spans="1:9">
      <c r="A14" s="10" t="s">
        <v>26</v>
      </c>
      <c r="B14" s="24">
        <f>Overzicht!E26</f>
        <v>9.2307692307692317</v>
      </c>
      <c r="C14" s="13" t="str" cm="1">
        <f t="array" ref="C14">_xlfn.IFS(B14&lt;2,"Uw buffer is beperkt. Eén tegenvaller kan directe liquiditeitsdruk veroorzaken.",AND(B14&gt;=2,B14&lt;4),"Uw buffer biedt enige ruimte, maar groei-investeringen vragen zorgvuldige planning.",B14&gt;=4,"Uw bedrijf beschikt over een stabiele financiële buffer. Strategische keuzes kunnen vanuit kracht worden gemaakt.")</f>
        <v>Uw bedrijf beschikt over een stabiele financiële buffer. Strategische keuzes kunnen vanuit kracht worden gemaakt.</v>
      </c>
      <c r="D14" s="13"/>
      <c r="E14" s="13"/>
      <c r="F14" s="13"/>
      <c r="G14" s="13"/>
      <c r="H14" s="13"/>
      <c r="I14" s="25"/>
    </row>
    <row r="18" spans="1:8" ht="15.75">
      <c r="A18" s="7" t="s">
        <v>27</v>
      </c>
      <c r="B18" s="8"/>
      <c r="D18" s="7" t="s">
        <v>28</v>
      </c>
      <c r="E18" s="8"/>
      <c r="G18" s="7" t="s">
        <v>29</v>
      </c>
      <c r="H18" s="8"/>
    </row>
    <row r="19" spans="1:8">
      <c r="A19" s="9" t="s">
        <v>30</v>
      </c>
      <c r="B19" s="26">
        <f>Input!B15/Input!B13</f>
        <v>0.8</v>
      </c>
      <c r="D19" s="9" t="s">
        <v>31</v>
      </c>
      <c r="E19" s="14">
        <f>Input!E14-Input!E13</f>
        <v>150000</v>
      </c>
      <c r="G19" s="18" t="s">
        <v>14</v>
      </c>
      <c r="H19" s="14">
        <f>Input!H15</f>
        <v>75000</v>
      </c>
    </row>
    <row r="20" spans="1:8">
      <c r="A20" s="9" t="s">
        <v>23</v>
      </c>
      <c r="B20" s="26">
        <f>Input!B18/Input!B13</f>
        <v>0.15</v>
      </c>
      <c r="D20" s="9" t="s">
        <v>32</v>
      </c>
      <c r="E20" s="14">
        <f>E19-Input!B18</f>
        <v>0</v>
      </c>
      <c r="G20" s="19" t="s">
        <v>33</v>
      </c>
      <c r="H20" s="20">
        <f>Input!H15*2</f>
        <v>150000</v>
      </c>
    </row>
    <row r="21" spans="1:8">
      <c r="A21" s="10" t="s">
        <v>25</v>
      </c>
      <c r="B21" s="17">
        <f>Input!B15/Input!B16</f>
        <v>4</v>
      </c>
      <c r="D21" s="9" t="s">
        <v>34</v>
      </c>
      <c r="E21" s="26">
        <f>E19/Input!B18</f>
        <v>1</v>
      </c>
    </row>
    <row r="22" spans="1:8">
      <c r="D22" s="9"/>
      <c r="E22" s="15"/>
    </row>
    <row r="23" spans="1:8">
      <c r="D23" s="16" t="s">
        <v>35</v>
      </c>
      <c r="E23" s="15"/>
    </row>
    <row r="24" spans="1:8">
      <c r="D24" s="9" t="s">
        <v>11</v>
      </c>
      <c r="E24" s="14">
        <f>Input!E14</f>
        <v>500000</v>
      </c>
    </row>
    <row r="25" spans="1:8">
      <c r="D25" s="9" t="s">
        <v>36</v>
      </c>
      <c r="E25" s="14">
        <f>(Input!B16+Input!B17)/12</f>
        <v>54166.666666666664</v>
      </c>
    </row>
    <row r="26" spans="1:8">
      <c r="D26" s="10" t="s">
        <v>26</v>
      </c>
      <c r="E26" s="17">
        <f>Input!E14/E25</f>
        <v>9.2307692307692317</v>
      </c>
    </row>
  </sheetData>
  <mergeCells count="1">
    <mergeCell ref="A10:B10"/>
  </mergeCells>
  <conditionalFormatting sqref="B20">
    <cfRule type="cellIs" dxfId="19" priority="34" operator="greaterThanOrEqual">
      <formula>0.15</formula>
    </cfRule>
  </conditionalFormatting>
  <conditionalFormatting sqref="B20">
    <cfRule type="cellIs" dxfId="18" priority="33" operator="between">
      <formula>0.1</formula>
      <formula>0.149</formula>
    </cfRule>
  </conditionalFormatting>
  <conditionalFormatting sqref="B20">
    <cfRule type="cellIs" dxfId="17" priority="32" operator="lessThan">
      <formula>0.1</formula>
    </cfRule>
  </conditionalFormatting>
  <conditionalFormatting sqref="B21">
    <cfRule type="cellIs" dxfId="16" priority="31" operator="greaterThanOrEqual">
      <formula>2</formula>
    </cfRule>
  </conditionalFormatting>
  <conditionalFormatting sqref="B21">
    <cfRule type="cellIs" dxfId="15" priority="30" operator="between">
      <formula>1.5</formula>
      <formula>1.99</formula>
    </cfRule>
  </conditionalFormatting>
  <conditionalFormatting sqref="B21">
    <cfRule type="cellIs" dxfId="14" priority="29" operator="lessThan">
      <formula>1.5</formula>
    </cfRule>
  </conditionalFormatting>
  <conditionalFormatting sqref="E20">
    <cfRule type="cellIs" dxfId="13" priority="21" operator="lessThan">
      <formula>0</formula>
    </cfRule>
  </conditionalFormatting>
  <conditionalFormatting sqref="E26">
    <cfRule type="cellIs" dxfId="12" priority="20" operator="lessThan">
      <formula>1</formula>
    </cfRule>
  </conditionalFormatting>
  <conditionalFormatting sqref="E26">
    <cfRule type="cellIs" dxfId="11" priority="19" operator="between">
      <formula>1</formula>
      <formula>3</formula>
    </cfRule>
  </conditionalFormatting>
  <conditionalFormatting sqref="E26">
    <cfRule type="cellIs" priority="18" operator="between">
      <formula>3</formula>
      <formula>6</formula>
    </cfRule>
  </conditionalFormatting>
  <conditionalFormatting sqref="E26">
    <cfRule type="cellIs" dxfId="10" priority="17" operator="greaterThan">
      <formula>6</formula>
    </cfRule>
  </conditionalFormatting>
  <conditionalFormatting sqref="B11">
    <cfRule type="cellIs" dxfId="9" priority="11" operator="greaterThanOrEqual">
      <formula>0.15</formula>
    </cfRule>
  </conditionalFormatting>
  <conditionalFormatting sqref="B11">
    <cfRule type="cellIs" dxfId="8" priority="10" operator="between">
      <formula>0.1</formula>
      <formula>0.149</formula>
    </cfRule>
  </conditionalFormatting>
  <conditionalFormatting sqref="B11">
    <cfRule type="cellIs" dxfId="7" priority="9" operator="lessThan">
      <formula>0.1</formula>
    </cfRule>
  </conditionalFormatting>
  <conditionalFormatting sqref="B13">
    <cfRule type="cellIs" dxfId="6" priority="8" operator="greaterThanOrEqual">
      <formula>2</formula>
    </cfRule>
  </conditionalFormatting>
  <conditionalFormatting sqref="B13">
    <cfRule type="cellIs" dxfId="5" priority="7" operator="between">
      <formula>1.5</formula>
      <formula>1.99</formula>
    </cfRule>
  </conditionalFormatting>
  <conditionalFormatting sqref="B13">
    <cfRule type="cellIs" dxfId="4" priority="6" operator="lessThan">
      <formula>1.5</formula>
    </cfRule>
  </conditionalFormatting>
  <conditionalFormatting sqref="B12">
    <cfRule type="cellIs" dxfId="3" priority="5" operator="lessThan">
      <formula>0.7</formula>
    </cfRule>
  </conditionalFormatting>
  <conditionalFormatting sqref="B14">
    <cfRule type="cellIs" dxfId="2" priority="4" operator="lessThan">
      <formula>1</formula>
    </cfRule>
  </conditionalFormatting>
  <conditionalFormatting sqref="B14">
    <cfRule type="cellIs" dxfId="1" priority="3" operator="between">
      <formula>1</formula>
      <formula>3</formula>
    </cfRule>
  </conditionalFormatting>
  <conditionalFormatting sqref="B14">
    <cfRule type="cellIs" priority="2" operator="between">
      <formula>3</formula>
      <formula>6</formula>
    </cfRule>
  </conditionalFormatting>
  <conditionalFormatting sqref="B14">
    <cfRule type="cellIs" dxfId="0" priority="1" operator="greaterThan">
      <formula>6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2025-07-23T07:58:36Z</dcterms:created>
  <dcterms:modified xsi:type="dcterms:W3CDTF">2026-03-05T20:20:17Z</dcterms:modified>
  <cp:category/>
  <cp:contentStatus/>
</cp:coreProperties>
</file>